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KinderTPV" sheetId="1" r:id="rId1"/>
  </sheets>
  <definedNames>
    <definedName name="_xlnm.Print_Area" localSheetId="0">'KinderTPV'!$A$1:$O$89</definedName>
  </definedNames>
  <calcPr fullCalcOnLoad="1"/>
</workbook>
</file>

<file path=xl/sharedStrings.xml><?xml version="1.0" encoding="utf-8"?>
<sst xmlns="http://schemas.openxmlformats.org/spreadsheetml/2006/main" count="188" uniqueCount="90">
  <si>
    <t>ml</t>
  </si>
  <si>
    <t>volume</t>
  </si>
  <si>
    <t>eenheid</t>
  </si>
  <si>
    <t>na-k-fosfaat</t>
  </si>
  <si>
    <t>Na mmol</t>
  </si>
  <si>
    <t>K mmol</t>
  </si>
  <si>
    <t>Ca mmol</t>
  </si>
  <si>
    <t>P mmol</t>
  </si>
  <si>
    <t>Mg mmol</t>
  </si>
  <si>
    <t>Cl mmol</t>
  </si>
  <si>
    <t>glucose 10%</t>
  </si>
  <si>
    <t>glucose 20%</t>
  </si>
  <si>
    <t>nacl 50 mmol=10ml</t>
  </si>
  <si>
    <t>kcl 10mmol=10ml</t>
  </si>
  <si>
    <t>mgcl2 10mmol=10ml</t>
  </si>
  <si>
    <t>ca-levul 2,5mmol=10ml</t>
  </si>
  <si>
    <t>intralipid 10%</t>
  </si>
  <si>
    <t>intralipid 20%</t>
  </si>
  <si>
    <t>gewicht kg</t>
  </si>
  <si>
    <t>leeftijd</t>
  </si>
  <si>
    <t>3-10 jaar</t>
  </si>
  <si>
    <t>10-18 jaar</t>
  </si>
  <si>
    <t>ziektefactor</t>
  </si>
  <si>
    <t>activiteitsfactor</t>
  </si>
  <si>
    <t>groeifactor</t>
  </si>
  <si>
    <t>rmr energiebehoefte</t>
  </si>
  <si>
    <t>streefgewicht</t>
  </si>
  <si>
    <t>energie totaal kcal</t>
  </si>
  <si>
    <t>vetbehoefte kcal</t>
  </si>
  <si>
    <t>eiwit g</t>
  </si>
  <si>
    <t>vocht ml</t>
  </si>
  <si>
    <t>peditrace (spoor)</t>
  </si>
  <si>
    <t>addamel-N (spoor)</t>
  </si>
  <si>
    <t>vitintra infant (ADKE)</t>
  </si>
  <si>
    <t>vitintra adult (ADKE)</t>
  </si>
  <si>
    <t>vamin14 zonder electr / L</t>
  </si>
  <si>
    <t>kcal</t>
  </si>
  <si>
    <t>vamin-glucose / L</t>
  </si>
  <si>
    <t>non-vet kcal</t>
  </si>
  <si>
    <t>glucose 15%</t>
  </si>
  <si>
    <t>resultaat</t>
  </si>
  <si>
    <t>theoret.</t>
  </si>
  <si>
    <t>3-10 kg</t>
  </si>
  <si>
    <t>10-20 kg</t>
  </si>
  <si>
    <t>&gt; 20 kg</t>
  </si>
  <si>
    <t>2-4</t>
  </si>
  <si>
    <t>1-3</t>
  </si>
  <si>
    <t>electrolyten/kg/dag</t>
  </si>
  <si>
    <t>keuze arts mmol/kg/dag</t>
  </si>
  <si>
    <t>totaal</t>
  </si>
  <si>
    <t>1 ml/kg</t>
  </si>
  <si>
    <t>max 15 kg</t>
  </si>
  <si>
    <t>&gt; 11 jaar</t>
  </si>
  <si>
    <t>apotheek</t>
  </si>
  <si>
    <t>soluvit N (vit)</t>
  </si>
  <si>
    <t>10 ml</t>
  </si>
  <si>
    <t>patientnaam</t>
  </si>
  <si>
    <t>meisje</t>
  </si>
  <si>
    <t>jongen</t>
  </si>
  <si>
    <t>Na</t>
  </si>
  <si>
    <t>K</t>
  </si>
  <si>
    <t>Ca</t>
  </si>
  <si>
    <t>P</t>
  </si>
  <si>
    <t>Mg</t>
  </si>
  <si>
    <t>Cl</t>
  </si>
  <si>
    <t>Aminoz</t>
  </si>
  <si>
    <t>Glucose</t>
  </si>
  <si>
    <t>Vet</t>
  </si>
  <si>
    <t>mmol</t>
  </si>
  <si>
    <t>g</t>
  </si>
  <si>
    <t>max 10 ml</t>
  </si>
  <si>
    <t>streefwaarden</t>
  </si>
  <si>
    <t>fractie</t>
  </si>
  <si>
    <t>arts</t>
  </si>
  <si>
    <t>keuze</t>
  </si>
  <si>
    <t>samenstelling</t>
  </si>
  <si>
    <t>componenten apotheek</t>
  </si>
  <si>
    <t>kg</t>
  </si>
  <si>
    <t>glucose 25%</t>
  </si>
  <si>
    <t>keuze componenten arts</t>
  </si>
  <si>
    <t>ml aminozuur</t>
  </si>
  <si>
    <t>ml glucose</t>
  </si>
  <si>
    <t>ml vet opl</t>
  </si>
  <si>
    <t>0-36 mnd</t>
  </si>
  <si>
    <t>indien afwijkend, zelf invullen</t>
  </si>
  <si>
    <t>Controles</t>
  </si>
  <si>
    <t>Volume</t>
  </si>
  <si>
    <t>kopieer en plak!</t>
  </si>
  <si>
    <t>lich.opp Kompas pg 40</t>
  </si>
  <si>
    <t>glucose 5%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</si>
</sst>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"/>
    <numFmt numFmtId="166" formatCode="0.0000"/>
  </numFmts>
  <fonts count="4"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center"/>
    </xf>
    <xf numFmtId="16" fontId="0" fillId="0" borderId="0" xfId="0" applyNumberFormat="1" applyFont="1" applyAlignment="1" quotePrefix="1">
      <alignment horizontal="center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164" fontId="1" fillId="5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 hidden="1"/>
    </xf>
    <xf numFmtId="164" fontId="1" fillId="0" borderId="0" xfId="0" applyNumberFormat="1" applyFont="1" applyAlignment="1">
      <alignment horizontal="left"/>
    </xf>
    <xf numFmtId="164" fontId="0" fillId="6" borderId="0" xfId="0" applyNumberFormat="1" applyFill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6" borderId="0" xfId="0" applyNumberFormat="1" applyFill="1" applyBorder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1" fillId="7" borderId="0" xfId="0" applyNumberFormat="1" applyFont="1" applyFill="1" applyAlignment="1" applyProtection="1">
      <alignment horizontal="left"/>
      <protection locked="0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right"/>
    </xf>
    <xf numFmtId="0" fontId="3" fillId="8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/>
    </xf>
    <xf numFmtId="0" fontId="3" fillId="9" borderId="0" xfId="0" applyFont="1" applyFill="1" applyBorder="1" applyAlignment="1">
      <alignment horizontal="right"/>
    </xf>
    <xf numFmtId="0" fontId="3" fillId="9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0" fontId="1" fillId="10" borderId="0" xfId="0" applyFont="1" applyFill="1" applyBorder="1" applyAlignment="1">
      <alignment/>
    </xf>
    <xf numFmtId="0" fontId="1" fillId="10" borderId="0" xfId="0" applyFont="1" applyFill="1" applyAlignment="1">
      <alignment/>
    </xf>
    <xf numFmtId="0" fontId="1" fillId="10" borderId="0" xfId="0" applyFont="1" applyFill="1" applyAlignment="1">
      <alignment horizontal="center"/>
    </xf>
    <xf numFmtId="0" fontId="2" fillId="10" borderId="0" xfId="0" applyFont="1" applyFill="1" applyBorder="1" applyAlignment="1">
      <alignment/>
    </xf>
    <xf numFmtId="0" fontId="1" fillId="7" borderId="0" xfId="0" applyFont="1" applyFill="1" applyAlignment="1">
      <alignment/>
    </xf>
    <xf numFmtId="2" fontId="1" fillId="7" borderId="0" xfId="0" applyNumberFormat="1" applyFont="1" applyFill="1" applyAlignment="1">
      <alignment horizontal="left"/>
    </xf>
    <xf numFmtId="0" fontId="1" fillId="8" borderId="0" xfId="0" applyFont="1" applyFill="1" applyAlignment="1" applyProtection="1">
      <alignment horizontal="right"/>
      <protection locked="0"/>
    </xf>
    <xf numFmtId="0" fontId="1" fillId="9" borderId="0" xfId="0" applyFont="1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 horizontal="right"/>
      <protection locked="0"/>
    </xf>
    <xf numFmtId="0" fontId="0" fillId="0" borderId="0" xfId="0" applyAlignment="1">
      <alignment horizontal="left"/>
    </xf>
    <xf numFmtId="1" fontId="1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ill="1" applyAlignment="1" applyProtection="1">
      <alignment horizontal="center"/>
      <protection/>
    </xf>
    <xf numFmtId="0" fontId="3" fillId="8" borderId="0" xfId="0" applyFont="1" applyFill="1" applyBorder="1" applyAlignment="1" applyProtection="1">
      <alignment/>
      <protection locked="0"/>
    </xf>
    <xf numFmtId="0" fontId="3" fillId="8" borderId="0" xfId="0" applyFont="1" applyFill="1" applyBorder="1" applyAlignment="1" applyProtection="1">
      <alignment horizontal="right"/>
      <protection locked="0"/>
    </xf>
    <xf numFmtId="0" fontId="3" fillId="8" borderId="0" xfId="0" applyFont="1" applyFill="1" applyBorder="1" applyAlignment="1" applyProtection="1">
      <alignment horizontal="center"/>
      <protection locked="0"/>
    </xf>
    <xf numFmtId="0" fontId="3" fillId="9" borderId="0" xfId="0" applyFont="1" applyFill="1" applyBorder="1" applyAlignment="1" applyProtection="1">
      <alignment/>
      <protection locked="0"/>
    </xf>
    <xf numFmtId="0" fontId="3" fillId="9" borderId="0" xfId="0" applyFont="1" applyFill="1" applyBorder="1" applyAlignment="1" applyProtection="1">
      <alignment horizontal="right"/>
      <protection locked="0"/>
    </xf>
    <xf numFmtId="0" fontId="3" fillId="9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/>
      <protection locked="0"/>
    </xf>
    <xf numFmtId="0" fontId="3" fillId="4" borderId="0" xfId="0" applyFont="1" applyFill="1" applyBorder="1" applyAlignment="1" applyProtection="1">
      <alignment horizontal="right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A1">
      <selection activeCell="B1" sqref="B1"/>
    </sheetView>
  </sheetViews>
  <sheetFormatPr defaultColWidth="9.33203125" defaultRowHeight="11.25"/>
  <cols>
    <col min="1" max="1" width="18.66015625" style="0" customWidth="1"/>
    <col min="2" max="6" width="9.83203125" style="0" customWidth="1"/>
    <col min="7" max="9" width="10.16015625" style="0" customWidth="1"/>
    <col min="10" max="12" width="7.83203125" style="0" customWidth="1"/>
    <col min="13" max="13" width="7.83203125" style="1" customWidth="1"/>
    <col min="14" max="14" width="9.33203125" style="2" customWidth="1"/>
    <col min="15" max="15" width="9.33203125" style="9" customWidth="1"/>
  </cols>
  <sheetData>
    <row r="1" spans="1:11" ht="11.25">
      <c r="A1" s="25" t="s">
        <v>56</v>
      </c>
      <c r="B1" s="80"/>
      <c r="C1" s="5"/>
      <c r="D1" s="4" t="s">
        <v>58</v>
      </c>
      <c r="E1" s="5"/>
      <c r="F1" s="5"/>
      <c r="G1" s="5"/>
      <c r="H1" s="4" t="s">
        <v>57</v>
      </c>
      <c r="I1" s="5"/>
      <c r="J1" s="5"/>
      <c r="K1" s="5"/>
    </row>
    <row r="2" spans="1:11" ht="11.25">
      <c r="A2" s="3"/>
      <c r="B2" s="4"/>
      <c r="C2" s="4" t="s">
        <v>83</v>
      </c>
      <c r="D2" s="4" t="s">
        <v>20</v>
      </c>
      <c r="E2" s="4" t="s">
        <v>21</v>
      </c>
      <c r="F2" s="4"/>
      <c r="G2" s="4" t="s">
        <v>83</v>
      </c>
      <c r="H2" s="4" t="s">
        <v>20</v>
      </c>
      <c r="I2" s="4" t="s">
        <v>21</v>
      </c>
      <c r="J2" s="5"/>
      <c r="K2" s="16" t="s">
        <v>40</v>
      </c>
    </row>
    <row r="3" spans="3:10" ht="11.25">
      <c r="C3" s="24"/>
      <c r="D3" s="24"/>
      <c r="E3" s="24"/>
      <c r="F3" s="24"/>
      <c r="G3" s="24"/>
      <c r="H3" s="24"/>
      <c r="I3" s="24"/>
      <c r="J3" s="25"/>
    </row>
    <row r="4" spans="1:11" ht="11.25">
      <c r="A4" t="s">
        <v>18</v>
      </c>
      <c r="B4" s="66"/>
      <c r="C4" s="28"/>
      <c r="D4" s="28">
        <v>37</v>
      </c>
      <c r="E4" s="28"/>
      <c r="F4" s="2"/>
      <c r="G4" s="27"/>
      <c r="H4" s="27"/>
      <c r="I4" s="27"/>
      <c r="K4" s="4">
        <f>SUM(C4:I4)</f>
        <v>37</v>
      </c>
    </row>
    <row r="5" spans="1:11" ht="11.25">
      <c r="A5" t="s">
        <v>19</v>
      </c>
      <c r="C5" s="28"/>
      <c r="D5" s="28">
        <v>8</v>
      </c>
      <c r="E5" s="28"/>
      <c r="F5" s="2"/>
      <c r="G5" s="27"/>
      <c r="H5" s="27"/>
      <c r="I5" s="27"/>
      <c r="K5" s="4">
        <f>SUM(C5:I5)</f>
        <v>8</v>
      </c>
    </row>
    <row r="6" spans="1:11" ht="11.25">
      <c r="A6" t="s">
        <v>88</v>
      </c>
      <c r="C6" s="28"/>
      <c r="D6" s="28">
        <v>1.3</v>
      </c>
      <c r="E6" s="28"/>
      <c r="F6" s="2"/>
      <c r="G6" s="27"/>
      <c r="H6" s="27"/>
      <c r="I6" s="27"/>
      <c r="K6" s="4">
        <f>SUM(C6:I6)</f>
        <v>1.3</v>
      </c>
    </row>
    <row r="7" spans="1:11" ht="11.25">
      <c r="A7" t="s">
        <v>26</v>
      </c>
      <c r="C7" s="28"/>
      <c r="D7" s="28">
        <v>37</v>
      </c>
      <c r="E7" s="28"/>
      <c r="F7" s="2"/>
      <c r="G7" s="27"/>
      <c r="H7" s="27"/>
      <c r="I7" s="27"/>
      <c r="K7" s="4">
        <f>SUM(C7:I7)</f>
        <v>37</v>
      </c>
    </row>
    <row r="8" spans="3:11" ht="11.25">
      <c r="C8" s="2"/>
      <c r="D8" s="2"/>
      <c r="E8" s="2"/>
      <c r="F8" s="2"/>
      <c r="G8" s="2"/>
      <c r="H8" s="2"/>
      <c r="I8" s="2"/>
      <c r="K8" s="4"/>
    </row>
    <row r="9" spans="3:11" ht="11.25">
      <c r="C9" s="2"/>
      <c r="D9" s="2"/>
      <c r="E9" s="2"/>
      <c r="F9" s="2"/>
      <c r="G9" s="2"/>
      <c r="H9" s="2"/>
      <c r="I9" s="2"/>
      <c r="K9" s="4"/>
    </row>
    <row r="10" spans="3:11" ht="11.25">
      <c r="C10" s="2"/>
      <c r="D10" s="2"/>
      <c r="E10" s="2"/>
      <c r="F10" s="2"/>
      <c r="G10" s="2"/>
      <c r="H10" s="2"/>
      <c r="I10" s="2"/>
      <c r="K10" s="4"/>
    </row>
    <row r="11" spans="1:11" ht="11.25">
      <c r="A11" s="34" t="s">
        <v>25</v>
      </c>
      <c r="B11" s="34"/>
      <c r="C11" s="35">
        <f>(60.9*C4)-54</f>
        <v>-54</v>
      </c>
      <c r="D11" s="35">
        <f>(22.7*D4)+495</f>
        <v>1334.9</v>
      </c>
      <c r="E11" s="35">
        <f>17.5*E4+651</f>
        <v>651</v>
      </c>
      <c r="F11" s="35"/>
      <c r="G11" s="35">
        <f>(61*G4)-51</f>
        <v>-51</v>
      </c>
      <c r="H11" s="35">
        <f>(22.5*H4)+499</f>
        <v>499</v>
      </c>
      <c r="I11" s="35">
        <f>(12.2*I4)+746</f>
        <v>746</v>
      </c>
      <c r="J11" s="34"/>
      <c r="K11" s="36"/>
    </row>
    <row r="12" spans="1:11" ht="11.25">
      <c r="A12" t="s">
        <v>22</v>
      </c>
      <c r="C12" s="26"/>
      <c r="D12" s="26">
        <v>1.2</v>
      </c>
      <c r="E12" s="26"/>
      <c r="F12" s="2"/>
      <c r="G12" s="26"/>
      <c r="H12" s="26"/>
      <c r="I12" s="26"/>
      <c r="K12" s="4"/>
    </row>
    <row r="13" spans="1:11" ht="11.25">
      <c r="A13" t="s">
        <v>23</v>
      </c>
      <c r="C13" s="26"/>
      <c r="D13" s="26">
        <v>1.1</v>
      </c>
      <c r="E13" s="26"/>
      <c r="F13" s="2"/>
      <c r="G13" s="26"/>
      <c r="H13" s="26"/>
      <c r="I13" s="26"/>
      <c r="K13" s="4"/>
    </row>
    <row r="14" spans="1:11" ht="11.25">
      <c r="A14" s="34" t="s">
        <v>24</v>
      </c>
      <c r="B14" s="34"/>
      <c r="C14" s="70">
        <f>IF(C4=0,0,C7/C4)</f>
        <v>0</v>
      </c>
      <c r="D14" s="70">
        <f>IF(D4=0,0,D7/D4)</f>
        <v>1</v>
      </c>
      <c r="E14" s="70">
        <f>IF(E4=0,0,E7/E4)</f>
        <v>0</v>
      </c>
      <c r="F14" s="70"/>
      <c r="G14" s="70">
        <f>IF(G4=0,0,G7/G4)</f>
        <v>0</v>
      </c>
      <c r="H14" s="70">
        <f>IF(H4=0,0,H7/H4)</f>
        <v>0</v>
      </c>
      <c r="I14" s="70">
        <f>IF(I4=0,0,I7/I4)</f>
        <v>0</v>
      </c>
      <c r="J14" s="34"/>
      <c r="K14" s="36"/>
    </row>
    <row r="15" spans="1:11" ht="11.25">
      <c r="A15" s="37" t="s">
        <v>27</v>
      </c>
      <c r="B15" s="37"/>
      <c r="C15" s="39">
        <f>C11*(C13+C12-1)*C14</f>
        <v>0</v>
      </c>
      <c r="D15" s="39">
        <f>D11*(D13+D12-1)*D14</f>
        <v>1735.37</v>
      </c>
      <c r="E15" s="39">
        <f>E11*(E13+E12-1)*E14</f>
        <v>0</v>
      </c>
      <c r="F15" s="38"/>
      <c r="G15" s="39">
        <f>G11*(G13+G12-1)*G14</f>
        <v>0</v>
      </c>
      <c r="H15" s="39">
        <f>H11*(H13+H12-1)*H14</f>
        <v>0</v>
      </c>
      <c r="I15" s="39">
        <f>I11*(I13+I12-1)*I14</f>
        <v>0</v>
      </c>
      <c r="J15" s="37"/>
      <c r="K15" s="36">
        <f>K17+K18</f>
        <v>1735.37</v>
      </c>
    </row>
    <row r="16" spans="1:11" ht="11.25">
      <c r="A16" s="5"/>
      <c r="B16" s="5"/>
      <c r="C16" s="4"/>
      <c r="D16" s="4"/>
      <c r="E16" s="4"/>
      <c r="F16" s="4"/>
      <c r="G16" s="4"/>
      <c r="H16" s="4"/>
      <c r="I16" s="4"/>
      <c r="J16" s="5"/>
      <c r="K16" s="4"/>
    </row>
    <row r="17" spans="1:11" ht="11.25">
      <c r="A17" s="5" t="s">
        <v>28</v>
      </c>
      <c r="B17" s="5"/>
      <c r="C17" s="68">
        <f>(0.35*C15)</f>
        <v>0</v>
      </c>
      <c r="D17" s="68">
        <f>(0.35*D15)</f>
        <v>607.3794999999999</v>
      </c>
      <c r="E17" s="68">
        <f>0.35*$E$15</f>
        <v>0</v>
      </c>
      <c r="F17" s="69"/>
      <c r="G17" s="68">
        <f>(0.35*G15)</f>
        <v>0</v>
      </c>
      <c r="H17" s="68">
        <f>(0.35*H15)</f>
        <v>0</v>
      </c>
      <c r="I17" s="68">
        <f>(0.35*I15)</f>
        <v>0</v>
      </c>
      <c r="J17" s="5"/>
      <c r="K17" s="67">
        <f>SUM(C17:I17)</f>
        <v>607.3794999999999</v>
      </c>
    </row>
    <row r="18" spans="1:11" ht="11.25">
      <c r="A18" s="5" t="s">
        <v>38</v>
      </c>
      <c r="B18" s="5"/>
      <c r="C18" s="68">
        <f>(C15-C17)</f>
        <v>0</v>
      </c>
      <c r="D18" s="68">
        <f>(D15-D17)</f>
        <v>1127.9904999999999</v>
      </c>
      <c r="E18" s="68">
        <f>$E$15-$E$17</f>
        <v>0</v>
      </c>
      <c r="F18" s="68"/>
      <c r="G18" s="68">
        <f>(G15-G17)</f>
        <v>0</v>
      </c>
      <c r="H18" s="68">
        <f>(H15-H17)</f>
        <v>0</v>
      </c>
      <c r="I18" s="68">
        <f>(I15-I17)</f>
        <v>0</v>
      </c>
      <c r="J18" s="5"/>
      <c r="K18" s="67">
        <f>SUM(C18:I18)</f>
        <v>1127.9904999999999</v>
      </c>
    </row>
    <row r="19" spans="1:13" ht="11.25">
      <c r="A19" s="5" t="s">
        <v>29</v>
      </c>
      <c r="B19" s="5"/>
      <c r="C19" s="68">
        <f>IF(C5&gt;3,1.5*C4,IF(C5&gt;2,1.8*C4,IF(C5&gt;1,2.2*C4,2.6*C4)))</f>
        <v>0</v>
      </c>
      <c r="D19" s="68">
        <f>1.5*D4</f>
        <v>55.5</v>
      </c>
      <c r="E19" s="68">
        <f>1.5*$E$4</f>
        <v>0</v>
      </c>
      <c r="F19" s="68"/>
      <c r="G19" s="68">
        <f>IF(G5&gt;3,1.5*G4,IF(G5&gt;2,1.8*G4,IF(G5&gt;1,2.2*G4,2.6*G4)))</f>
        <v>0</v>
      </c>
      <c r="H19" s="68">
        <f>1.5*H4</f>
        <v>0</v>
      </c>
      <c r="I19" s="68">
        <f>1.5*I4</f>
        <v>0</v>
      </c>
      <c r="J19" s="7"/>
      <c r="K19" s="67">
        <f>SUM(C19:I19)</f>
        <v>55.5</v>
      </c>
      <c r="M19" s="66" t="s">
        <v>84</v>
      </c>
    </row>
    <row r="20" spans="1:13" ht="11.25">
      <c r="A20" s="5" t="s">
        <v>30</v>
      </c>
      <c r="B20" s="5"/>
      <c r="C20" s="68">
        <f>IF(C5&lt;4,150*C4,IF(C5&lt;7,130*C4,IF(C5&lt;13,110*C4,IF(C4&gt;20,(1500+20*(C4-20)),IF(C4&gt;10,(1000+50*(C4-10)),IF(C4&lt;11,100*C4))))))</f>
        <v>0</v>
      </c>
      <c r="D20" s="68">
        <f>IF(D4&gt;20,(1500+20*(D4-20)),IF(D4&gt;10,(1000+50*(D4-10)),IF(D4&lt;11,100*D4)))</f>
        <v>1840</v>
      </c>
      <c r="E20" s="68">
        <f>IF(E4&gt;0,20*(E4-20)+1500,0)</f>
        <v>0</v>
      </c>
      <c r="F20" s="69"/>
      <c r="G20" s="68">
        <f>IF(G5&lt;4,150*G4,IF(G5&lt;7,130*G4,IF(G5&lt;13,110*G4,IF(G4&gt;20,(1500+20*(G4-20)),IF(G4&gt;10,(1000+50*(G4-10)),IF(G4&lt;11,100*G4))))))</f>
        <v>0</v>
      </c>
      <c r="H20" s="68">
        <f>IF(H4&gt;20,(1500+20*(H4-20)),IF(H4&gt;10,(1000+50*(H4-10)),IF(H4&lt;11,100*H4)))</f>
        <v>0</v>
      </c>
      <c r="I20" s="68">
        <f>IF(I4&gt;0,20*(I4-20)+1500,0)</f>
        <v>0</v>
      </c>
      <c r="J20" s="5"/>
      <c r="K20" s="67">
        <f>SUM(C20:I20)</f>
        <v>1840</v>
      </c>
      <c r="M20" s="66" t="s">
        <v>84</v>
      </c>
    </row>
    <row r="21" spans="1:11" ht="11.25">
      <c r="A21" s="5"/>
      <c r="B21" s="5"/>
      <c r="C21" s="5"/>
      <c r="D21" s="5"/>
      <c r="E21" s="4"/>
      <c r="F21" s="5"/>
      <c r="G21" s="5"/>
      <c r="H21" s="5"/>
      <c r="I21" s="5"/>
      <c r="J21" s="5"/>
      <c r="K21" s="4"/>
    </row>
    <row r="22" spans="1:11" ht="11.25">
      <c r="A22" s="5" t="s">
        <v>47</v>
      </c>
      <c r="B22" s="5"/>
      <c r="C22" s="5" t="s">
        <v>4</v>
      </c>
      <c r="D22" s="5" t="s">
        <v>5</v>
      </c>
      <c r="E22" s="5" t="s">
        <v>6</v>
      </c>
      <c r="F22" s="5" t="s">
        <v>7</v>
      </c>
      <c r="G22" s="5" t="s">
        <v>8</v>
      </c>
      <c r="H22" s="5" t="s">
        <v>9</v>
      </c>
      <c r="J22" s="5"/>
      <c r="K22" s="5"/>
    </row>
    <row r="23" spans="1:11" ht="11.25">
      <c r="A23" s="6" t="s">
        <v>42</v>
      </c>
      <c r="B23" s="7"/>
      <c r="C23" s="20" t="s">
        <v>45</v>
      </c>
      <c r="D23" s="21" t="s">
        <v>46</v>
      </c>
      <c r="E23" s="7">
        <v>0.85</v>
      </c>
      <c r="F23" s="7">
        <v>0.65</v>
      </c>
      <c r="G23" s="7">
        <v>0.25</v>
      </c>
      <c r="H23" s="20" t="s">
        <v>45</v>
      </c>
      <c r="J23" s="6"/>
      <c r="K23" s="6"/>
    </row>
    <row r="24" spans="1:11" ht="11.25">
      <c r="A24" s="6" t="s">
        <v>43</v>
      </c>
      <c r="B24" s="7"/>
      <c r="C24" s="20" t="s">
        <v>45</v>
      </c>
      <c r="D24" s="21" t="s">
        <v>46</v>
      </c>
      <c r="E24" s="7">
        <v>0.5</v>
      </c>
      <c r="F24" s="7">
        <v>0.3</v>
      </c>
      <c r="G24" s="7">
        <v>0.12</v>
      </c>
      <c r="H24" s="20" t="s">
        <v>45</v>
      </c>
      <c r="J24" s="6"/>
      <c r="K24" s="6"/>
    </row>
    <row r="25" spans="1:11" ht="11.25">
      <c r="A25" s="6" t="s">
        <v>44</v>
      </c>
      <c r="B25" s="7"/>
      <c r="C25" s="20" t="s">
        <v>45</v>
      </c>
      <c r="D25" s="21" t="s">
        <v>46</v>
      </c>
      <c r="E25" s="7">
        <v>0.2</v>
      </c>
      <c r="F25" s="7">
        <v>0.15</v>
      </c>
      <c r="G25" s="7">
        <v>0.12</v>
      </c>
      <c r="H25" s="20" t="s">
        <v>45</v>
      </c>
      <c r="J25" s="6"/>
      <c r="K25" s="6"/>
    </row>
    <row r="26" spans="2:8" ht="11.25">
      <c r="B26" s="7"/>
      <c r="C26" s="2"/>
      <c r="D26" s="2"/>
      <c r="E26" s="2"/>
      <c r="F26" s="2"/>
      <c r="G26" s="2"/>
      <c r="H26" s="2"/>
    </row>
    <row r="27" spans="1:11" ht="11.25">
      <c r="A27" s="5" t="s">
        <v>48</v>
      </c>
      <c r="B27" s="5"/>
      <c r="C27" s="29">
        <v>3</v>
      </c>
      <c r="D27" s="29">
        <v>2</v>
      </c>
      <c r="E27" s="29">
        <v>0.2</v>
      </c>
      <c r="F27" s="29">
        <v>0.15</v>
      </c>
      <c r="G27" s="29">
        <v>0.12</v>
      </c>
      <c r="H27" s="29">
        <v>3</v>
      </c>
      <c r="J27" s="5"/>
      <c r="K27" s="5"/>
    </row>
    <row r="28" spans="1:11" ht="11.25">
      <c r="A28" s="5">
        <f>K4</f>
        <v>37</v>
      </c>
      <c r="B28" s="16" t="s">
        <v>77</v>
      </c>
      <c r="C28" s="4">
        <f aca="true" t="shared" si="0" ref="C28:H28">C27*$K$4</f>
        <v>111</v>
      </c>
      <c r="D28" s="4">
        <f t="shared" si="0"/>
        <v>74</v>
      </c>
      <c r="E28" s="4">
        <f t="shared" si="0"/>
        <v>7.4</v>
      </c>
      <c r="F28" s="4">
        <f t="shared" si="0"/>
        <v>5.55</v>
      </c>
      <c r="G28" s="4">
        <f t="shared" si="0"/>
        <v>4.4399999999999995</v>
      </c>
      <c r="H28" s="4">
        <f t="shared" si="0"/>
        <v>111</v>
      </c>
      <c r="J28" s="5"/>
      <c r="K28" s="5"/>
    </row>
    <row r="30" spans="1:15" ht="11.25">
      <c r="A30" s="57" t="s">
        <v>79</v>
      </c>
      <c r="B30" s="58"/>
      <c r="C30" s="59" t="s">
        <v>59</v>
      </c>
      <c r="D30" s="59" t="s">
        <v>60</v>
      </c>
      <c r="E30" s="59" t="s">
        <v>61</v>
      </c>
      <c r="F30" s="59" t="s">
        <v>62</v>
      </c>
      <c r="G30" s="59" t="s">
        <v>63</v>
      </c>
      <c r="H30" s="59" t="s">
        <v>64</v>
      </c>
      <c r="I30" s="59" t="s">
        <v>65</v>
      </c>
      <c r="J30" s="59" t="s">
        <v>66</v>
      </c>
      <c r="K30" s="59" t="s">
        <v>67</v>
      </c>
      <c r="L30" s="59" t="s">
        <v>1</v>
      </c>
      <c r="M30" s="59" t="s">
        <v>2</v>
      </c>
      <c r="N30" s="59" t="s">
        <v>36</v>
      </c>
      <c r="O30" s="19" t="s">
        <v>53</v>
      </c>
    </row>
    <row r="31" spans="1:14" ht="11.25">
      <c r="A31" s="60" t="s">
        <v>87</v>
      </c>
      <c r="B31" s="58"/>
      <c r="C31" s="59" t="s">
        <v>68</v>
      </c>
      <c r="D31" s="59" t="s">
        <v>68</v>
      </c>
      <c r="E31" s="59" t="s">
        <v>68</v>
      </c>
      <c r="F31" s="59" t="s">
        <v>68</v>
      </c>
      <c r="G31" s="59" t="s">
        <v>68</v>
      </c>
      <c r="H31" s="59" t="s">
        <v>68</v>
      </c>
      <c r="I31" s="59" t="s">
        <v>69</v>
      </c>
      <c r="J31" s="59" t="s">
        <v>69</v>
      </c>
      <c r="K31" s="59" t="s">
        <v>69</v>
      </c>
      <c r="L31" s="59"/>
      <c r="M31" s="59"/>
      <c r="N31" s="59"/>
    </row>
    <row r="32" spans="1:16" ht="11.25">
      <c r="A32" s="71" t="s">
        <v>37</v>
      </c>
      <c r="B32" s="71"/>
      <c r="C32" s="71">
        <v>50</v>
      </c>
      <c r="D32" s="71">
        <v>20</v>
      </c>
      <c r="E32" s="71">
        <v>2.5</v>
      </c>
      <c r="F32" s="71"/>
      <c r="G32" s="71">
        <v>1.5</v>
      </c>
      <c r="H32" s="71">
        <v>55</v>
      </c>
      <c r="I32" s="71">
        <v>70</v>
      </c>
      <c r="J32" s="71">
        <v>100</v>
      </c>
      <c r="K32" s="71"/>
      <c r="L32" s="71">
        <v>1000</v>
      </c>
      <c r="M32" s="72" t="s">
        <v>0</v>
      </c>
      <c r="N32" s="73">
        <f>(I32*4)+(J32*4)</f>
        <v>680</v>
      </c>
      <c r="O32" s="56">
        <f>D62</f>
        <v>800</v>
      </c>
      <c r="P32" t="s">
        <v>80</v>
      </c>
    </row>
    <row r="33" spans="1:16" ht="11.25">
      <c r="A33" s="74" t="s">
        <v>78</v>
      </c>
      <c r="B33" s="74"/>
      <c r="C33" s="74"/>
      <c r="D33" s="74"/>
      <c r="E33" s="74"/>
      <c r="F33" s="74"/>
      <c r="G33" s="74"/>
      <c r="H33" s="74"/>
      <c r="I33" s="74"/>
      <c r="J33" s="74">
        <v>125</v>
      </c>
      <c r="K33" s="74"/>
      <c r="L33" s="74">
        <v>500</v>
      </c>
      <c r="M33" s="75" t="s">
        <v>0</v>
      </c>
      <c r="N33" s="76">
        <f>J33*4</f>
        <v>500</v>
      </c>
      <c r="O33" s="56">
        <f>D63</f>
        <v>600</v>
      </c>
      <c r="P33" t="s">
        <v>81</v>
      </c>
    </row>
    <row r="34" spans="1:16" ht="11.25">
      <c r="A34" s="77" t="s">
        <v>17</v>
      </c>
      <c r="B34" s="77"/>
      <c r="C34" s="77"/>
      <c r="D34" s="77"/>
      <c r="E34" s="77"/>
      <c r="F34" s="77">
        <v>7.5</v>
      </c>
      <c r="G34" s="77"/>
      <c r="H34" s="77"/>
      <c r="I34" s="77"/>
      <c r="J34" s="77"/>
      <c r="K34" s="77">
        <v>100</v>
      </c>
      <c r="L34" s="77">
        <v>500</v>
      </c>
      <c r="M34" s="78" t="s">
        <v>0</v>
      </c>
      <c r="N34" s="79">
        <f>K34*9</f>
        <v>900</v>
      </c>
      <c r="O34" s="56">
        <f>D64</f>
        <v>350</v>
      </c>
      <c r="P34" t="s">
        <v>82</v>
      </c>
    </row>
    <row r="36" spans="1:15" s="4" customFormat="1" ht="11.25">
      <c r="A36" s="16" t="s">
        <v>76</v>
      </c>
      <c r="O36" s="15"/>
    </row>
    <row r="37" spans="1:15" ht="11.25">
      <c r="A37" s="47" t="s">
        <v>37</v>
      </c>
      <c r="B37" s="47"/>
      <c r="C37" s="47">
        <v>50</v>
      </c>
      <c r="D37" s="47">
        <v>20</v>
      </c>
      <c r="E37" s="47">
        <v>2.5</v>
      </c>
      <c r="F37" s="47"/>
      <c r="G37" s="47">
        <v>1.5</v>
      </c>
      <c r="H37" s="47">
        <v>55</v>
      </c>
      <c r="I37" s="47">
        <v>70</v>
      </c>
      <c r="J37" s="47">
        <v>100</v>
      </c>
      <c r="K37" s="47"/>
      <c r="L37" s="47">
        <v>1000</v>
      </c>
      <c r="M37" s="48" t="s">
        <v>0</v>
      </c>
      <c r="N37" s="49">
        <f>(I37*4)+(J37*4)</f>
        <v>680</v>
      </c>
      <c r="O37" s="41"/>
    </row>
    <row r="38" spans="1:15" ht="11.25">
      <c r="A38" s="47" t="s">
        <v>35</v>
      </c>
      <c r="B38" s="47"/>
      <c r="C38" s="47"/>
      <c r="D38" s="47"/>
      <c r="E38" s="47"/>
      <c r="F38" s="47"/>
      <c r="G38" s="47"/>
      <c r="H38" s="47"/>
      <c r="I38" s="47">
        <v>85</v>
      </c>
      <c r="J38" s="47"/>
      <c r="K38" s="47"/>
      <c r="L38" s="47">
        <v>1000</v>
      </c>
      <c r="M38" s="48" t="s">
        <v>0</v>
      </c>
      <c r="N38" s="49">
        <f>I38*4</f>
        <v>340</v>
      </c>
      <c r="O38" s="41"/>
    </row>
    <row r="39" spans="1:16" ht="11.25">
      <c r="A39" s="12" t="s">
        <v>3</v>
      </c>
      <c r="B39" s="12"/>
      <c r="C39" s="12">
        <v>6.5</v>
      </c>
      <c r="D39" s="12">
        <v>6.5</v>
      </c>
      <c r="E39" s="12"/>
      <c r="F39" s="12">
        <v>10</v>
      </c>
      <c r="G39" s="12"/>
      <c r="H39" s="12"/>
      <c r="I39" s="12"/>
      <c r="J39" s="12"/>
      <c r="K39" s="12"/>
      <c r="L39" s="12">
        <v>10</v>
      </c>
      <c r="M39" s="13" t="s">
        <v>0</v>
      </c>
      <c r="N39" s="14"/>
      <c r="O39" s="56">
        <f>D68</f>
        <v>0.2999999999999998</v>
      </c>
      <c r="P39" t="s">
        <v>0</v>
      </c>
    </row>
    <row r="40" spans="13:15" s="12" customFormat="1" ht="11.25">
      <c r="M40" s="13"/>
      <c r="N40" s="14"/>
      <c r="O40" s="42"/>
    </row>
    <row r="41" spans="1:15" s="12" customFormat="1" ht="11.25">
      <c r="A41" s="50" t="s">
        <v>89</v>
      </c>
      <c r="B41" s="50"/>
      <c r="C41" s="50"/>
      <c r="D41" s="50"/>
      <c r="E41" s="50"/>
      <c r="F41" s="50"/>
      <c r="G41" s="50"/>
      <c r="H41" s="50"/>
      <c r="I41" s="50"/>
      <c r="J41" s="50">
        <v>25</v>
      </c>
      <c r="K41" s="50"/>
      <c r="L41" s="50">
        <v>500</v>
      </c>
      <c r="M41" s="51" t="s">
        <v>0</v>
      </c>
      <c r="N41" s="52">
        <f>J41*4</f>
        <v>100</v>
      </c>
      <c r="O41" s="43"/>
    </row>
    <row r="42" spans="1:15" s="12" customFormat="1" ht="11.25">
      <c r="A42" s="50" t="s">
        <v>10</v>
      </c>
      <c r="B42" s="50"/>
      <c r="C42" s="50"/>
      <c r="D42" s="50"/>
      <c r="E42" s="50"/>
      <c r="F42" s="50"/>
      <c r="G42" s="50"/>
      <c r="H42" s="50"/>
      <c r="I42" s="50"/>
      <c r="J42" s="50">
        <v>50</v>
      </c>
      <c r="K42" s="50"/>
      <c r="L42" s="50">
        <v>500</v>
      </c>
      <c r="M42" s="51" t="s">
        <v>0</v>
      </c>
      <c r="N42" s="52">
        <f>J42*4</f>
        <v>200</v>
      </c>
      <c r="O42" s="43"/>
    </row>
    <row r="43" spans="1:15" ht="11.25">
      <c r="A43" s="50" t="s">
        <v>39</v>
      </c>
      <c r="B43" s="50"/>
      <c r="C43" s="50"/>
      <c r="D43" s="50"/>
      <c r="E43" s="50"/>
      <c r="F43" s="50"/>
      <c r="G43" s="50"/>
      <c r="H43" s="50"/>
      <c r="I43" s="50"/>
      <c r="J43" s="50">
        <v>15</v>
      </c>
      <c r="K43" s="50"/>
      <c r="L43" s="50">
        <v>100</v>
      </c>
      <c r="M43" s="51" t="s">
        <v>0</v>
      </c>
      <c r="N43" s="52">
        <f>J43*4</f>
        <v>60</v>
      </c>
      <c r="O43" s="41"/>
    </row>
    <row r="44" spans="1:15" ht="11.25">
      <c r="A44" s="50" t="s">
        <v>11</v>
      </c>
      <c r="B44" s="50"/>
      <c r="C44" s="50"/>
      <c r="D44" s="50"/>
      <c r="E44" s="50"/>
      <c r="F44" s="50"/>
      <c r="G44" s="50"/>
      <c r="H44" s="50"/>
      <c r="I44" s="50"/>
      <c r="J44" s="50">
        <v>100</v>
      </c>
      <c r="K44" s="50"/>
      <c r="L44" s="50">
        <v>500</v>
      </c>
      <c r="M44" s="51" t="s">
        <v>0</v>
      </c>
      <c r="N44" s="52">
        <f>J44*4</f>
        <v>400</v>
      </c>
      <c r="O44" s="41"/>
    </row>
    <row r="45" spans="1:15" ht="11.25">
      <c r="A45" s="50" t="s">
        <v>78</v>
      </c>
      <c r="B45" s="50"/>
      <c r="C45" s="50"/>
      <c r="D45" s="50"/>
      <c r="E45" s="50"/>
      <c r="F45" s="50"/>
      <c r="G45" s="50"/>
      <c r="H45" s="50"/>
      <c r="I45" s="50"/>
      <c r="J45" s="50">
        <v>125</v>
      </c>
      <c r="K45" s="50"/>
      <c r="L45" s="50">
        <v>500</v>
      </c>
      <c r="M45" s="51" t="s">
        <v>0</v>
      </c>
      <c r="N45" s="52">
        <f>J45*4</f>
        <v>500</v>
      </c>
      <c r="O45" s="41"/>
    </row>
    <row r="46" spans="1:16" ht="11.25">
      <c r="A46" s="12" t="s">
        <v>54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>
        <v>10</v>
      </c>
      <c r="M46" s="13" t="s">
        <v>0</v>
      </c>
      <c r="N46" s="14"/>
      <c r="O46" s="56">
        <f>D73</f>
        <v>10</v>
      </c>
      <c r="P46" t="s">
        <v>0</v>
      </c>
    </row>
    <row r="47" spans="1:17" ht="11.25">
      <c r="A47" s="12" t="s">
        <v>31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>
        <v>10</v>
      </c>
      <c r="M47" s="13" t="s">
        <v>0</v>
      </c>
      <c r="N47" s="14"/>
      <c r="O47" s="56">
        <f>D74</f>
        <v>0</v>
      </c>
      <c r="P47" t="s">
        <v>0</v>
      </c>
      <c r="Q47" s="30"/>
    </row>
    <row r="48" spans="1:16" ht="11.25">
      <c r="A48" s="12" t="s">
        <v>32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>
        <v>10</v>
      </c>
      <c r="M48" s="13" t="s">
        <v>0</v>
      </c>
      <c r="N48" s="14"/>
      <c r="O48" s="56">
        <f>D75</f>
        <v>10</v>
      </c>
      <c r="P48" t="s">
        <v>0</v>
      </c>
    </row>
    <row r="49" spans="1:16" ht="11.25">
      <c r="A49" s="12" t="s">
        <v>12</v>
      </c>
      <c r="B49" s="12"/>
      <c r="C49" s="12">
        <v>50</v>
      </c>
      <c r="D49" s="12"/>
      <c r="E49" s="12"/>
      <c r="F49" s="12"/>
      <c r="G49" s="12"/>
      <c r="H49" s="12">
        <v>50</v>
      </c>
      <c r="I49" s="12"/>
      <c r="J49" s="12"/>
      <c r="K49" s="12"/>
      <c r="L49" s="12">
        <v>10</v>
      </c>
      <c r="M49" s="13" t="s">
        <v>0</v>
      </c>
      <c r="N49" s="14"/>
      <c r="O49" s="56">
        <f>D71</f>
        <v>14.161000000000001</v>
      </c>
      <c r="P49" t="s">
        <v>0</v>
      </c>
    </row>
    <row r="50" spans="1:16" ht="11.25">
      <c r="A50" s="12" t="s">
        <v>13</v>
      </c>
      <c r="B50" s="12"/>
      <c r="C50" s="12"/>
      <c r="D50" s="12">
        <v>10</v>
      </c>
      <c r="E50" s="12"/>
      <c r="F50" s="12"/>
      <c r="G50" s="12"/>
      <c r="H50" s="12">
        <v>10</v>
      </c>
      <c r="I50" s="12"/>
      <c r="J50" s="12"/>
      <c r="K50" s="12"/>
      <c r="L50" s="12">
        <v>10</v>
      </c>
      <c r="M50" s="13" t="s">
        <v>0</v>
      </c>
      <c r="N50" s="14"/>
      <c r="O50" s="56">
        <f>D70</f>
        <v>57.805</v>
      </c>
      <c r="P50" t="s">
        <v>0</v>
      </c>
    </row>
    <row r="51" spans="1:16" ht="11.25">
      <c r="A51" s="12" t="s">
        <v>14</v>
      </c>
      <c r="B51" s="12"/>
      <c r="C51" s="12"/>
      <c r="D51" s="12"/>
      <c r="E51" s="12"/>
      <c r="F51" s="12"/>
      <c r="G51" s="12">
        <v>10</v>
      </c>
      <c r="H51" s="12">
        <v>20</v>
      </c>
      <c r="I51" s="12"/>
      <c r="J51" s="12"/>
      <c r="K51" s="12"/>
      <c r="L51" s="12">
        <v>10</v>
      </c>
      <c r="M51" s="13" t="s">
        <v>0</v>
      </c>
      <c r="N51" s="14"/>
      <c r="O51" s="56">
        <f>D67</f>
        <v>3.2399999999999993</v>
      </c>
      <c r="P51" t="s">
        <v>0</v>
      </c>
    </row>
    <row r="52" spans="1:16" ht="11.25">
      <c r="A52" s="12" t="s">
        <v>15</v>
      </c>
      <c r="B52" s="12"/>
      <c r="C52" s="12"/>
      <c r="D52" s="12"/>
      <c r="E52" s="12">
        <v>2.5</v>
      </c>
      <c r="F52" s="12"/>
      <c r="G52" s="12"/>
      <c r="H52" s="12"/>
      <c r="I52" s="12"/>
      <c r="J52" s="12"/>
      <c r="K52" s="12"/>
      <c r="L52" s="12">
        <v>10</v>
      </c>
      <c r="M52" s="13" t="s">
        <v>0</v>
      </c>
      <c r="N52" s="14"/>
      <c r="O52" s="56">
        <f>D66</f>
        <v>21.6</v>
      </c>
      <c r="P52" t="s">
        <v>0</v>
      </c>
    </row>
    <row r="53" spans="1:14" ht="11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  <c r="N53" s="14"/>
    </row>
    <row r="54" spans="1:15" ht="11.25">
      <c r="A54" s="53" t="s">
        <v>16</v>
      </c>
      <c r="B54" s="53"/>
      <c r="C54" s="53"/>
      <c r="D54" s="53"/>
      <c r="E54" s="53"/>
      <c r="F54" s="53">
        <v>7.5</v>
      </c>
      <c r="G54" s="53"/>
      <c r="H54" s="53"/>
      <c r="I54" s="53"/>
      <c r="J54" s="53"/>
      <c r="K54" s="53">
        <v>50</v>
      </c>
      <c r="L54" s="53">
        <v>500</v>
      </c>
      <c r="M54" s="54" t="s">
        <v>0</v>
      </c>
      <c r="N54" s="55">
        <f>K54*9</f>
        <v>450</v>
      </c>
      <c r="O54" s="41"/>
    </row>
    <row r="55" spans="1:15" ht="11.25">
      <c r="A55" s="53" t="s">
        <v>17</v>
      </c>
      <c r="B55" s="53"/>
      <c r="C55" s="53"/>
      <c r="D55" s="53"/>
      <c r="E55" s="53"/>
      <c r="F55" s="53">
        <v>7.5</v>
      </c>
      <c r="G55" s="53"/>
      <c r="H55" s="53"/>
      <c r="I55" s="53"/>
      <c r="J55" s="53"/>
      <c r="K55" s="53">
        <v>100</v>
      </c>
      <c r="L55" s="53">
        <v>500</v>
      </c>
      <c r="M55" s="54" t="s">
        <v>0</v>
      </c>
      <c r="N55" s="55">
        <f>K55*9</f>
        <v>900</v>
      </c>
      <c r="O55" s="41"/>
    </row>
    <row r="56" spans="1:16" ht="11.25">
      <c r="A56" s="12" t="s">
        <v>33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>
        <v>10</v>
      </c>
      <c r="M56" s="13" t="s">
        <v>0</v>
      </c>
      <c r="N56" s="14"/>
      <c r="O56" s="56">
        <f>D76</f>
        <v>10</v>
      </c>
      <c r="P56" t="s">
        <v>0</v>
      </c>
    </row>
    <row r="57" spans="1:16" ht="11.25">
      <c r="A57" s="12" t="s">
        <v>34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>
        <v>10</v>
      </c>
      <c r="M57" s="13" t="s">
        <v>0</v>
      </c>
      <c r="N57" s="14"/>
      <c r="O57" s="56">
        <f>D77</f>
        <v>0</v>
      </c>
      <c r="P57" t="s">
        <v>0</v>
      </c>
    </row>
    <row r="60" spans="1:15" s="5" customFormat="1" ht="11.25">
      <c r="A60" s="5" t="s">
        <v>75</v>
      </c>
      <c r="B60" t="s">
        <v>72</v>
      </c>
      <c r="C60" s="61" t="s">
        <v>74</v>
      </c>
      <c r="D60" s="4" t="s">
        <v>1</v>
      </c>
      <c r="E60" s="4" t="s">
        <v>2</v>
      </c>
      <c r="F60" s="4" t="s">
        <v>59</v>
      </c>
      <c r="G60" s="4" t="s">
        <v>60</v>
      </c>
      <c r="H60" s="4" t="s">
        <v>61</v>
      </c>
      <c r="I60" s="4" t="s">
        <v>62</v>
      </c>
      <c r="J60" s="4" t="s">
        <v>63</v>
      </c>
      <c r="K60" s="4" t="s">
        <v>64</v>
      </c>
      <c r="L60" s="4" t="s">
        <v>65</v>
      </c>
      <c r="M60" s="4" t="s">
        <v>66</v>
      </c>
      <c r="N60" s="4" t="s">
        <v>67</v>
      </c>
      <c r="O60" s="15" t="s">
        <v>36</v>
      </c>
    </row>
    <row r="61" spans="2:15" s="6" customFormat="1" ht="11.25">
      <c r="B61" s="17" t="s">
        <v>41</v>
      </c>
      <c r="C61" s="62" t="s">
        <v>73</v>
      </c>
      <c r="D61" s="7"/>
      <c r="E61" s="7"/>
      <c r="F61" s="4" t="s">
        <v>68</v>
      </c>
      <c r="G61" s="4" t="s">
        <v>68</v>
      </c>
      <c r="H61" s="4" t="s">
        <v>68</v>
      </c>
      <c r="I61" s="4" t="s">
        <v>68</v>
      </c>
      <c r="J61" s="4" t="s">
        <v>68</v>
      </c>
      <c r="K61" s="4" t="s">
        <v>68</v>
      </c>
      <c r="L61" s="4" t="s">
        <v>69</v>
      </c>
      <c r="M61" s="4" t="s">
        <v>69</v>
      </c>
      <c r="N61" s="4" t="s">
        <v>69</v>
      </c>
      <c r="O61" s="32"/>
    </row>
    <row r="62" spans="1:15" s="8" customFormat="1" ht="11.25">
      <c r="A62" s="44" t="str">
        <f>A32</f>
        <v>vamin-glucose / L</v>
      </c>
      <c r="B62" s="18">
        <f>K$19/I$32</f>
        <v>0.7928571428571428</v>
      </c>
      <c r="C62" s="46">
        <v>0.8</v>
      </c>
      <c r="D62" s="19">
        <f>$C62*L32</f>
        <v>800</v>
      </c>
      <c r="E62" s="10" t="s">
        <v>0</v>
      </c>
      <c r="F62" s="10">
        <f aca="true" t="shared" si="1" ref="F62:N64">$C62*C32</f>
        <v>40</v>
      </c>
      <c r="G62" s="10">
        <f t="shared" si="1"/>
        <v>16</v>
      </c>
      <c r="H62" s="10">
        <f t="shared" si="1"/>
        <v>2</v>
      </c>
      <c r="I62" s="10">
        <f t="shared" si="1"/>
        <v>0</v>
      </c>
      <c r="J62" s="10">
        <f t="shared" si="1"/>
        <v>1.2000000000000002</v>
      </c>
      <c r="K62" s="10">
        <f t="shared" si="1"/>
        <v>44</v>
      </c>
      <c r="L62" s="15">
        <f t="shared" si="1"/>
        <v>56</v>
      </c>
      <c r="M62" s="15">
        <f t="shared" si="1"/>
        <v>80</v>
      </c>
      <c r="N62" s="10">
        <f t="shared" si="1"/>
        <v>0</v>
      </c>
      <c r="O62" s="9">
        <f>$C62*N32</f>
        <v>544</v>
      </c>
    </row>
    <row r="63" spans="1:15" ht="11.25">
      <c r="A63" s="45" t="str">
        <f>A33</f>
        <v>glucose 25%</v>
      </c>
      <c r="B63" s="18">
        <f>(K$18-O$62)/N$33</f>
        <v>1.1679809999999997</v>
      </c>
      <c r="C63" s="46">
        <v>1.2</v>
      </c>
      <c r="D63" s="19">
        <f>$C63*L33</f>
        <v>600</v>
      </c>
      <c r="E63" s="10" t="s">
        <v>0</v>
      </c>
      <c r="F63" s="10">
        <f t="shared" si="1"/>
        <v>0</v>
      </c>
      <c r="G63" s="10">
        <f t="shared" si="1"/>
        <v>0</v>
      </c>
      <c r="H63" s="10">
        <f t="shared" si="1"/>
        <v>0</v>
      </c>
      <c r="I63" s="10">
        <f t="shared" si="1"/>
        <v>0</v>
      </c>
      <c r="J63" s="10">
        <f t="shared" si="1"/>
        <v>0</v>
      </c>
      <c r="K63" s="10">
        <f t="shared" si="1"/>
        <v>0</v>
      </c>
      <c r="L63" s="10">
        <f t="shared" si="1"/>
        <v>0</v>
      </c>
      <c r="M63" s="15">
        <f t="shared" si="1"/>
        <v>150</v>
      </c>
      <c r="N63" s="10">
        <f t="shared" si="1"/>
        <v>0</v>
      </c>
      <c r="O63" s="9">
        <f>$C63*N33</f>
        <v>600</v>
      </c>
    </row>
    <row r="64" spans="1:15" ht="11.25">
      <c r="A64" s="45" t="str">
        <f>A34</f>
        <v>intralipid 20%</v>
      </c>
      <c r="B64" s="18">
        <f>K$17/N$34</f>
        <v>0.674866111111111</v>
      </c>
      <c r="C64" s="46">
        <v>0.7</v>
      </c>
      <c r="D64" s="19">
        <f>$C64*L34</f>
        <v>350</v>
      </c>
      <c r="E64" s="10" t="s">
        <v>0</v>
      </c>
      <c r="F64" s="10">
        <f t="shared" si="1"/>
        <v>0</v>
      </c>
      <c r="G64" s="10">
        <f t="shared" si="1"/>
        <v>0</v>
      </c>
      <c r="H64" s="10">
        <f t="shared" si="1"/>
        <v>0</v>
      </c>
      <c r="I64" s="10">
        <f t="shared" si="1"/>
        <v>5.25</v>
      </c>
      <c r="J64" s="10">
        <f t="shared" si="1"/>
        <v>0</v>
      </c>
      <c r="K64" s="10">
        <f t="shared" si="1"/>
        <v>0</v>
      </c>
      <c r="L64" s="10">
        <f t="shared" si="1"/>
        <v>0</v>
      </c>
      <c r="M64" s="10">
        <f t="shared" si="1"/>
        <v>0</v>
      </c>
      <c r="N64" s="15">
        <f t="shared" si="1"/>
        <v>70</v>
      </c>
      <c r="O64" s="9">
        <f>$C64*N34</f>
        <v>630</v>
      </c>
    </row>
    <row r="65" spans="2:15" s="6" customFormat="1" ht="11.25">
      <c r="B65" s="22"/>
      <c r="D65" s="23">
        <f>SUM(D62:D64)</f>
        <v>1750</v>
      </c>
      <c r="E65" s="7"/>
      <c r="F65" s="32">
        <f aca="true" t="shared" si="2" ref="F65:K65">SUM(F62:F64)</f>
        <v>40</v>
      </c>
      <c r="G65" s="32">
        <f t="shared" si="2"/>
        <v>16</v>
      </c>
      <c r="H65" s="32">
        <f t="shared" si="2"/>
        <v>2</v>
      </c>
      <c r="I65" s="32">
        <f t="shared" si="2"/>
        <v>5.25</v>
      </c>
      <c r="J65" s="32">
        <f t="shared" si="2"/>
        <v>1.2000000000000002</v>
      </c>
      <c r="K65" s="32">
        <f t="shared" si="2"/>
        <v>44</v>
      </c>
      <c r="L65" s="7"/>
      <c r="M65" s="7"/>
      <c r="N65" s="7"/>
      <c r="O65" s="19">
        <f>SUM(O62:O64)</f>
        <v>1774</v>
      </c>
    </row>
    <row r="66" spans="1:14" ht="11.25">
      <c r="A66" t="str">
        <f>A52</f>
        <v>ca-levul 2,5mmol=10ml</v>
      </c>
      <c r="B66" s="18">
        <f>(E28-H65)/E52</f>
        <v>2.16</v>
      </c>
      <c r="C66" s="18">
        <f>B66</f>
        <v>2.16</v>
      </c>
      <c r="D66" s="19">
        <f>$C66*L52</f>
        <v>21.6</v>
      </c>
      <c r="E66" s="10" t="s">
        <v>0</v>
      </c>
      <c r="F66" s="10">
        <f aca="true" t="shared" si="3" ref="F66:K66">$C66*C52</f>
        <v>0</v>
      </c>
      <c r="G66" s="10">
        <f t="shared" si="3"/>
        <v>0</v>
      </c>
      <c r="H66" s="15">
        <f t="shared" si="3"/>
        <v>5.4</v>
      </c>
      <c r="I66" s="10">
        <f t="shared" si="3"/>
        <v>0</v>
      </c>
      <c r="J66" s="10">
        <f t="shared" si="3"/>
        <v>0</v>
      </c>
      <c r="K66" s="10">
        <f t="shared" si="3"/>
        <v>0</v>
      </c>
      <c r="L66" s="10"/>
      <c r="M66" s="10"/>
      <c r="N66" s="10"/>
    </row>
    <row r="67" spans="1:14" ht="11.25">
      <c r="A67" t="str">
        <f>A51</f>
        <v>mgcl2 10mmol=10ml</v>
      </c>
      <c r="B67" s="18">
        <f>(G28-J65)/G51</f>
        <v>0.32399999999999995</v>
      </c>
      <c r="C67" s="18">
        <f>B67</f>
        <v>0.32399999999999995</v>
      </c>
      <c r="D67" s="19">
        <f>$C67*L51</f>
        <v>3.2399999999999993</v>
      </c>
      <c r="E67" s="10" t="s">
        <v>0</v>
      </c>
      <c r="F67" s="10">
        <f aca="true" t="shared" si="4" ref="F67:K67">$C67*C51</f>
        <v>0</v>
      </c>
      <c r="G67" s="10">
        <f t="shared" si="4"/>
        <v>0</v>
      </c>
      <c r="H67" s="10">
        <f t="shared" si="4"/>
        <v>0</v>
      </c>
      <c r="I67" s="10">
        <f t="shared" si="4"/>
        <v>0</v>
      </c>
      <c r="J67" s="15">
        <f t="shared" si="4"/>
        <v>3.2399999999999993</v>
      </c>
      <c r="K67" s="10">
        <f t="shared" si="4"/>
        <v>6.479999999999999</v>
      </c>
      <c r="L67" s="10"/>
      <c r="M67" s="10"/>
      <c r="N67" s="10"/>
    </row>
    <row r="68" spans="1:14" ht="11.25">
      <c r="A68" t="str">
        <f>A39</f>
        <v>na-k-fosfaat</v>
      </c>
      <c r="B68" s="18">
        <f>(F28-I65)/F39</f>
        <v>0.02999999999999998</v>
      </c>
      <c r="C68" s="18">
        <f>B68</f>
        <v>0.02999999999999998</v>
      </c>
      <c r="D68" s="19">
        <f>$C68*L39</f>
        <v>0.2999999999999998</v>
      </c>
      <c r="E68" s="10" t="s">
        <v>0</v>
      </c>
      <c r="F68" s="10">
        <f aca="true" t="shared" si="5" ref="F68:K68">$C68*C39</f>
        <v>0.19499999999999987</v>
      </c>
      <c r="G68" s="10">
        <f t="shared" si="5"/>
        <v>0.19499999999999987</v>
      </c>
      <c r="H68" s="10">
        <f t="shared" si="5"/>
        <v>0</v>
      </c>
      <c r="I68" s="15">
        <f t="shared" si="5"/>
        <v>0.2999999999999998</v>
      </c>
      <c r="J68" s="10">
        <f t="shared" si="5"/>
        <v>0</v>
      </c>
      <c r="K68" s="10">
        <f t="shared" si="5"/>
        <v>0</v>
      </c>
      <c r="L68" s="10"/>
      <c r="M68" s="10"/>
      <c r="N68" s="10"/>
    </row>
    <row r="69" spans="2:14" ht="11.25">
      <c r="B69" s="18"/>
      <c r="C69" s="18"/>
      <c r="D69" s="23">
        <f>SUM(D65:D68)</f>
        <v>1775.1399999999999</v>
      </c>
      <c r="E69" s="10" t="s">
        <v>0</v>
      </c>
      <c r="F69" s="10">
        <f aca="true" t="shared" si="6" ref="F69:K69">SUM(F65:F68)</f>
        <v>40.195</v>
      </c>
      <c r="G69" s="10">
        <f t="shared" si="6"/>
        <v>16.195</v>
      </c>
      <c r="H69" s="15">
        <f t="shared" si="6"/>
        <v>7.4</v>
      </c>
      <c r="I69" s="15">
        <f t="shared" si="6"/>
        <v>5.55</v>
      </c>
      <c r="J69" s="15">
        <f t="shared" si="6"/>
        <v>4.4399999999999995</v>
      </c>
      <c r="K69" s="10">
        <f t="shared" si="6"/>
        <v>50.48</v>
      </c>
      <c r="L69" s="10"/>
      <c r="M69" s="10"/>
      <c r="N69" s="10"/>
    </row>
    <row r="70" spans="1:14" ht="11.25">
      <c r="A70" t="str">
        <f>A50</f>
        <v>kcl 10mmol=10ml</v>
      </c>
      <c r="B70" s="18">
        <f>(D28-G69)/D50</f>
        <v>5.7805</v>
      </c>
      <c r="C70" s="18">
        <f>B70</f>
        <v>5.7805</v>
      </c>
      <c r="D70" s="19">
        <f>$C70*L50</f>
        <v>57.805</v>
      </c>
      <c r="E70" s="10" t="s">
        <v>0</v>
      </c>
      <c r="F70" s="10">
        <f aca="true" t="shared" si="7" ref="F70:K70">$C70*C50</f>
        <v>0</v>
      </c>
      <c r="G70" s="15">
        <f t="shared" si="7"/>
        <v>57.805</v>
      </c>
      <c r="H70" s="10">
        <f t="shared" si="7"/>
        <v>0</v>
      </c>
      <c r="I70" s="10">
        <f t="shared" si="7"/>
        <v>0</v>
      </c>
      <c r="J70" s="10">
        <f t="shared" si="7"/>
        <v>0</v>
      </c>
      <c r="K70" s="10">
        <f t="shared" si="7"/>
        <v>57.805</v>
      </c>
      <c r="L70" s="10"/>
      <c r="M70" s="10"/>
      <c r="N70" s="10"/>
    </row>
    <row r="71" spans="1:14" ht="11.25">
      <c r="A71" t="str">
        <f>A49</f>
        <v>nacl 50 mmol=10ml</v>
      </c>
      <c r="B71" s="18">
        <f>(C28-F69)/C49</f>
        <v>1.4161000000000001</v>
      </c>
      <c r="C71" s="18">
        <f>B71</f>
        <v>1.4161000000000001</v>
      </c>
      <c r="D71" s="19">
        <f>$C71*L49</f>
        <v>14.161000000000001</v>
      </c>
      <c r="E71" s="10" t="s">
        <v>0</v>
      </c>
      <c r="F71" s="15">
        <f aca="true" t="shared" si="8" ref="F71:K71">$C71*C49</f>
        <v>70.805</v>
      </c>
      <c r="G71" s="10">
        <f t="shared" si="8"/>
        <v>0</v>
      </c>
      <c r="H71" s="10">
        <f t="shared" si="8"/>
        <v>0</v>
      </c>
      <c r="I71" s="10">
        <f t="shared" si="8"/>
        <v>0</v>
      </c>
      <c r="J71" s="10">
        <f t="shared" si="8"/>
        <v>0</v>
      </c>
      <c r="K71" s="10">
        <f t="shared" si="8"/>
        <v>70.805</v>
      </c>
      <c r="L71" s="10"/>
      <c r="M71" s="10"/>
      <c r="N71" s="10"/>
    </row>
    <row r="72" spans="4:14" ht="11.25">
      <c r="D72" s="19">
        <f>SUM(D69:D71)</f>
        <v>1847.106</v>
      </c>
      <c r="E72" s="10" t="s">
        <v>0</v>
      </c>
      <c r="M72"/>
      <c r="N72"/>
    </row>
    <row r="73" spans="1:14" ht="11.25">
      <c r="A73" s="11" t="s">
        <v>54</v>
      </c>
      <c r="B73" t="s">
        <v>50</v>
      </c>
      <c r="C73" t="s">
        <v>70</v>
      </c>
      <c r="D73" s="63">
        <v>10</v>
      </c>
      <c r="E73" s="14" t="s">
        <v>0</v>
      </c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1.25">
      <c r="A74" s="11" t="s">
        <v>31</v>
      </c>
      <c r="B74" s="12" t="s">
        <v>50</v>
      </c>
      <c r="C74" t="s">
        <v>51</v>
      </c>
      <c r="D74" s="64"/>
      <c r="E74" s="14" t="s">
        <v>0</v>
      </c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1.25">
      <c r="A75" s="11" t="s">
        <v>32</v>
      </c>
      <c r="B75" s="12" t="s">
        <v>55</v>
      </c>
      <c r="D75" s="64">
        <v>10</v>
      </c>
      <c r="E75" s="14" t="s">
        <v>0</v>
      </c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1.25">
      <c r="A76" s="11" t="s">
        <v>33</v>
      </c>
      <c r="B76" t="s">
        <v>50</v>
      </c>
      <c r="C76" t="s">
        <v>70</v>
      </c>
      <c r="D76" s="65">
        <v>10</v>
      </c>
      <c r="E76" s="14" t="s">
        <v>0</v>
      </c>
      <c r="F76" s="14"/>
      <c r="G76" s="14"/>
      <c r="H76" s="14"/>
      <c r="I76" s="14"/>
      <c r="J76" s="14"/>
      <c r="K76" s="14"/>
      <c r="L76" s="14"/>
      <c r="M76" s="14"/>
      <c r="N76" s="14"/>
    </row>
    <row r="77" spans="1:13" ht="11.25">
      <c r="A77" s="11" t="s">
        <v>34</v>
      </c>
      <c r="B77" t="s">
        <v>55</v>
      </c>
      <c r="C77" t="s">
        <v>52</v>
      </c>
      <c r="D77" s="65"/>
      <c r="E77" s="14" t="s">
        <v>0</v>
      </c>
      <c r="F77" s="2"/>
      <c r="G77" s="2"/>
      <c r="H77" s="2"/>
      <c r="I77" s="2"/>
      <c r="J77" s="2"/>
      <c r="K77" s="2"/>
      <c r="L77" s="2"/>
      <c r="M77" s="2"/>
    </row>
    <row r="78" spans="1:15" ht="11.25">
      <c r="A78" s="5" t="s">
        <v>49</v>
      </c>
      <c r="B78" s="5"/>
      <c r="C78" s="5"/>
      <c r="D78" s="31">
        <f>SUM(D72:D77)</f>
        <v>1877.106</v>
      </c>
      <c r="E78" s="14" t="s">
        <v>0</v>
      </c>
      <c r="F78" s="33">
        <f aca="true" t="shared" si="9" ref="F78:K78">SUM(F69:F71)</f>
        <v>111</v>
      </c>
      <c r="G78" s="33">
        <f t="shared" si="9"/>
        <v>74</v>
      </c>
      <c r="H78" s="33">
        <f t="shared" si="9"/>
        <v>7.4</v>
      </c>
      <c r="I78" s="33">
        <f t="shared" si="9"/>
        <v>5.55</v>
      </c>
      <c r="J78" s="33">
        <f t="shared" si="9"/>
        <v>4.4399999999999995</v>
      </c>
      <c r="K78" s="33">
        <f t="shared" si="9"/>
        <v>179.09</v>
      </c>
      <c r="L78" s="33">
        <f>SUM(L62:L64)</f>
        <v>56</v>
      </c>
      <c r="M78" s="33">
        <f>SUM(M62:M64)</f>
        <v>230</v>
      </c>
      <c r="N78" s="33">
        <f>SUM(N62:N64)</f>
        <v>70</v>
      </c>
      <c r="O78" s="31">
        <f>O65</f>
        <v>1774</v>
      </c>
    </row>
    <row r="79" spans="1:15" s="15" customFormat="1" ht="11.25">
      <c r="A79" s="40" t="s">
        <v>71</v>
      </c>
      <c r="D79" s="19">
        <f>K20</f>
        <v>1840</v>
      </c>
      <c r="F79" s="15">
        <f>C28</f>
        <v>111</v>
      </c>
      <c r="G79" s="15">
        <f>D28</f>
        <v>74</v>
      </c>
      <c r="H79" s="15">
        <f>E28</f>
        <v>7.4</v>
      </c>
      <c r="I79" s="15">
        <f>F28</f>
        <v>5.55</v>
      </c>
      <c r="J79" s="15">
        <f>G28</f>
        <v>4.4399999999999995</v>
      </c>
      <c r="L79" s="15">
        <f>K19</f>
        <v>55.5</v>
      </c>
      <c r="N79" s="15">
        <f>K17/9</f>
        <v>67.4866111111111</v>
      </c>
      <c r="O79" s="19">
        <f>K15</f>
        <v>1735.37</v>
      </c>
    </row>
    <row r="82" ht="11.25">
      <c r="A82" s="5" t="s">
        <v>85</v>
      </c>
    </row>
    <row r="83" spans="1:2" ht="11.25">
      <c r="A83" t="s">
        <v>86</v>
      </c>
      <c r="B83" t="str">
        <f>IF($D$78&gt;($D$79+(0.1*$D$79)),"Volume te groot, verklein volume!",IF($D$78&lt;($D$79-(0.1*$D$79)),"Volume te klein, vergroot volume!","Volume aangepast"))</f>
        <v>Volume aangepast</v>
      </c>
    </row>
    <row r="85" spans="1:2" ht="11.25">
      <c r="A85" s="8" t="str">
        <f>A62</f>
        <v>vamin-glucose / L</v>
      </c>
      <c r="B85" t="str">
        <f>IF($C$62&gt;($B$62+(0.1*$B$62)),"Factor niet aangepast of afwijking te groot!",IF($C$62&lt;($B$62-(0.1*$B$62)),"Factor niet aangepast of afwijking te groot!","Factor aangepast"))</f>
        <v>Factor aangepast</v>
      </c>
    </row>
    <row r="86" spans="1:2" ht="11.25">
      <c r="A86" s="8" t="str">
        <f>A63</f>
        <v>glucose 25%</v>
      </c>
      <c r="B86" t="str">
        <f>IF($C$63&gt;($B$63+(0.1*$B$63)),"Factor niet aangepast of afwijking te groot!",IF($C$63&lt;($B$63-(0.1*$B$63)),"Factor niet aangepast of afwijking te groot!","Factor aangepast"))</f>
        <v>Factor aangepast</v>
      </c>
    </row>
    <row r="87" spans="1:2" ht="11.25">
      <c r="A87" s="8" t="str">
        <f>A64</f>
        <v>intralipid 20%</v>
      </c>
      <c r="B87" t="str">
        <f>IF($C$64&gt;($B$64+(0.1*$B$64)),"Factor niet aangepast of afwijking te groot!",IF($C$64&lt;($B$64-(0.1*$B$64)),"Factor niet aangepast of afwijking te groot!","Factor aangepast"))</f>
        <v>Factor aangepast</v>
      </c>
    </row>
  </sheetData>
  <sheetProtection sheet="1" objects="1" scenarios="1"/>
  <printOptions gridLines="1"/>
  <pageMargins left="0.5905511811023623" right="0.5905511811023623" top="0.984251968503937" bottom="0.984251968503937" header="0.5118110236220472" footer="0.5118110236220472"/>
  <pageSetup horizontalDpi="600" verticalDpi="600" orientation="landscape" paperSize="115" r:id="rId1"/>
  <headerFooter alignWithMargins="0">
    <oddHeader>&amp;LTPV kinderen&amp;RIsala klinieken</oddHeader>
    <oddFooter>&amp;LH Siemeling, stag. apotheker
JCC van Niel, ziekenhuisapotheker&amp;C&amp;P van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Isala klinieken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Niel, Jancees van - Klinische Farmacie</dc:creator>
  <cp:keywords/>
  <dc:description/>
  <cp:lastModifiedBy>Niel</cp:lastModifiedBy>
  <cp:lastPrinted>2004-11-10T14:42:30Z</cp:lastPrinted>
  <dcterms:created xsi:type="dcterms:W3CDTF">2002-10-24T14:21:50Z</dcterms:created>
  <dcterms:modified xsi:type="dcterms:W3CDTF">2008-12-01T21:27:08Z</dcterms:modified>
  <cp:category/>
  <cp:version/>
  <cp:contentType/>
  <cp:contentStatus/>
</cp:coreProperties>
</file>